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/>
  </bookViews>
  <sheets>
    <sheet name="FreeMax Steps E8000 V02" sheetId="1" r:id="rId1"/>
  </sheets>
  <definedNames>
    <definedName name="_xlnm.Print_Area" localSheetId="0">'FreeMax Steps E8000 V02'!$A$1:$M$24</definedName>
    <definedName name="Druckbereich_Händler" localSheetId="0">#REF!</definedName>
    <definedName name="Druckbereich_Händler">#REF!</definedName>
  </definedNames>
  <calcPr calcId="14562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R22" i="1"/>
  <c r="Q22" i="1"/>
  <c r="P22" i="1" s="1"/>
  <c r="O22" i="1"/>
  <c r="N22" i="1" s="1"/>
  <c r="S21" i="1"/>
  <c r="R21" i="1" s="1"/>
  <c r="Q21" i="1"/>
  <c r="P21" i="1"/>
  <c r="O21" i="1"/>
  <c r="N21" i="1" s="1"/>
  <c r="S20" i="1"/>
  <c r="R20" i="1"/>
  <c r="Q20" i="1"/>
  <c r="P20" i="1" s="1"/>
  <c r="O20" i="1"/>
  <c r="N20" i="1" s="1"/>
  <c r="S19" i="1"/>
  <c r="R19" i="1" s="1"/>
  <c r="Q19" i="1"/>
  <c r="P19" i="1"/>
  <c r="O19" i="1"/>
  <c r="N19" i="1" s="1"/>
  <c r="S18" i="1"/>
  <c r="R18" i="1"/>
  <c r="Q18" i="1"/>
  <c r="P18" i="1" s="1"/>
  <c r="O18" i="1"/>
  <c r="N18" i="1" s="1"/>
  <c r="S17" i="1"/>
  <c r="R17" i="1" s="1"/>
  <c r="Q17" i="1"/>
  <c r="P17" i="1"/>
  <c r="O17" i="1"/>
  <c r="N17" i="1" s="1"/>
  <c r="S16" i="1"/>
  <c r="R16" i="1"/>
  <c r="Q16" i="1"/>
  <c r="P16" i="1" s="1"/>
  <c r="O16" i="1"/>
  <c r="N16" i="1"/>
  <c r="S15" i="1"/>
  <c r="R15" i="1" s="1"/>
  <c r="Q15" i="1"/>
  <c r="P15" i="1"/>
  <c r="O15" i="1"/>
  <c r="N15" i="1" s="1"/>
  <c r="S14" i="1"/>
  <c r="R14" i="1"/>
  <c r="Q14" i="1"/>
  <c r="P14" i="1" s="1"/>
  <c r="O14" i="1"/>
  <c r="N14" i="1" s="1"/>
  <c r="S13" i="1"/>
  <c r="R13" i="1" s="1"/>
  <c r="Q13" i="1"/>
  <c r="P13" i="1"/>
  <c r="O13" i="1"/>
  <c r="N13" i="1" s="1"/>
  <c r="S12" i="1"/>
  <c r="R12" i="1"/>
  <c r="Q12" i="1"/>
  <c r="P12" i="1" s="1"/>
  <c r="O12" i="1"/>
  <c r="N12" i="1" s="1"/>
  <c r="S11" i="1"/>
  <c r="R11" i="1" s="1"/>
  <c r="Q11" i="1"/>
  <c r="P11" i="1"/>
  <c r="O11" i="1"/>
  <c r="N11" i="1" s="1"/>
  <c r="S10" i="1"/>
  <c r="R10" i="1"/>
  <c r="Q10" i="1"/>
  <c r="P10" i="1" s="1"/>
  <c r="O10" i="1"/>
  <c r="N10" i="1" s="1"/>
  <c r="S9" i="1"/>
  <c r="R9" i="1" s="1"/>
  <c r="Q9" i="1"/>
  <c r="P9" i="1"/>
  <c r="O9" i="1"/>
  <c r="N9" i="1" s="1"/>
  <c r="S8" i="1"/>
  <c r="R8" i="1"/>
  <c r="Q8" i="1"/>
  <c r="P8" i="1" s="1"/>
  <c r="O8" i="1"/>
  <c r="N8" i="1" s="1"/>
  <c r="S7" i="1"/>
  <c r="R7" i="1" s="1"/>
  <c r="Q7" i="1"/>
  <c r="P7" i="1"/>
  <c r="O7" i="1"/>
  <c r="N7" i="1" s="1"/>
  <c r="S6" i="1"/>
  <c r="R6" i="1"/>
  <c r="Q6" i="1"/>
  <c r="P6" i="1" s="1"/>
  <c r="O6" i="1"/>
  <c r="N6" i="1" s="1"/>
  <c r="S5" i="1"/>
  <c r="R5" i="1" s="1"/>
  <c r="Q5" i="1"/>
  <c r="P5" i="1"/>
  <c r="O5" i="1"/>
  <c r="N5" i="1" s="1"/>
  <c r="S4" i="1"/>
  <c r="R4" i="1"/>
  <c r="Q4" i="1"/>
  <c r="P4" i="1" s="1"/>
  <c r="O4" i="1"/>
  <c r="N4" i="1"/>
  <c r="S3" i="1"/>
  <c r="R3" i="1" s="1"/>
  <c r="Q3" i="1"/>
  <c r="P3" i="1"/>
  <c r="O3" i="1"/>
  <c r="N3" i="1" s="1"/>
</calcChain>
</file>

<file path=xl/comments1.xml><?xml version="1.0" encoding="utf-8"?>
<comments xmlns="http://schemas.openxmlformats.org/spreadsheetml/2006/main">
  <authors>
    <author>kamp1</author>
  </authors>
  <commentList>
    <comment ref="Q24" authorId="0">
      <text>
        <r>
          <rPr>
            <b/>
            <sz val="9"/>
            <color indexed="81"/>
            <rFont val="Segoe UI"/>
            <family val="2"/>
          </rPr>
          <t>Take care: the caculated values of the graph are just esimated values... No liability will be assumed for this information</t>
        </r>
      </text>
    </comment>
  </commentList>
</comments>
</file>

<file path=xl/sharedStrings.xml><?xml version="1.0" encoding="utf-8"?>
<sst xmlns="http://schemas.openxmlformats.org/spreadsheetml/2006/main" count="16" uniqueCount="9">
  <si>
    <t>MODUS</t>
  </si>
  <si>
    <t>ECO</t>
  </si>
  <si>
    <t>TRAIL</t>
  </si>
  <si>
    <t>BOOST</t>
  </si>
  <si>
    <r>
      <t>assist ratio</t>
    </r>
    <r>
      <rPr>
        <sz val="10"/>
        <rFont val="Arial"/>
        <family val="2"/>
      </rPr>
      <t xml:space="preserve"> 
[20%-300%] 
ORG: </t>
    </r>
    <r>
      <rPr>
        <b/>
        <sz val="10"/>
        <rFont val="Arial"/>
        <family val="2"/>
      </rPr>
      <t>60</t>
    </r>
    <r>
      <rPr>
        <sz val="10"/>
        <rFont val="Arial"/>
        <family val="2"/>
      </rPr>
      <t xml:space="preserve"> | </t>
    </r>
    <r>
      <rPr>
        <b/>
        <sz val="10"/>
        <rFont val="Arial"/>
        <family val="2"/>
      </rPr>
      <t>70</t>
    </r>
    <r>
      <rPr>
        <sz val="10"/>
        <rFont val="Arial"/>
        <family val="2"/>
      </rPr>
      <t>/90/110 | 150/200/</t>
    </r>
    <r>
      <rPr>
        <b/>
        <sz val="10"/>
        <rFont val="Arial"/>
        <family val="2"/>
      </rPr>
      <t>300</t>
    </r>
  </si>
  <si>
    <t>torque
(human)
[Nm]</t>
  </si>
  <si>
    <t>torque
(motor)
[Nm]</t>
  </si>
  <si>
    <r>
      <t xml:space="preserve">max. torque 
</t>
    </r>
    <r>
      <rPr>
        <sz val="10"/>
        <rFont val="Arial"/>
        <family val="2"/>
      </rPr>
      <t>of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0"/>
        <rFont val="Arial"/>
        <family val="2"/>
      </rPr>
      <t xml:space="preserve">motor 
[20Nm-70Nm] ORG: </t>
    </r>
    <r>
      <rPr>
        <b/>
        <sz val="10"/>
        <rFont val="Arial"/>
        <family val="2"/>
      </rPr>
      <t>30 | 70 | 70</t>
    </r>
  </si>
  <si>
    <t>quasi exp. factor (don´t touch!):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</si>
</sst>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8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6" fillId="2" borderId="1" xfId="1" applyFont="1" applyFill="1" applyBorder="1" applyAlignment="1">
      <alignment vertical="center" wrapText="1"/>
    </xf>
    <xf numFmtId="1" fontId="3" fillId="3" borderId="1" xfId="1" applyNumberFormat="1" applyFont="1" applyFill="1" applyBorder="1" applyAlignment="1" applyProtection="1">
      <alignment horizontal="center" vertical="center"/>
      <protection locked="0"/>
    </xf>
    <xf numFmtId="1" fontId="4" fillId="3" borderId="1" xfId="1" applyNumberFormat="1" applyFont="1" applyFill="1" applyBorder="1" applyAlignment="1" applyProtection="1">
      <alignment horizontal="center" vertical="center"/>
      <protection locked="0"/>
    </xf>
    <xf numFmtId="1" fontId="5" fillId="3" borderId="1" xfId="1" applyNumberFormat="1" applyFont="1" applyFill="1" applyBorder="1" applyAlignment="1" applyProtection="1">
      <alignment horizontal="center" vertical="center"/>
      <protection locked="0"/>
    </xf>
    <xf numFmtId="1" fontId="9" fillId="0" borderId="0" xfId="1" applyNumberFormat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2" fontId="13" fillId="0" borderId="1" xfId="1" applyNumberFormat="1" applyFont="1" applyBorder="1" applyAlignment="1">
      <alignment vertical="center"/>
    </xf>
    <xf numFmtId="2" fontId="14" fillId="0" borderId="1" xfId="1" applyNumberFormat="1" applyFont="1" applyBorder="1" applyAlignment="1">
      <alignment vertical="center"/>
    </xf>
    <xf numFmtId="2" fontId="15" fillId="0" borderId="1" xfId="1" applyNumberFormat="1" applyFont="1" applyBorder="1"/>
    <xf numFmtId="0" fontId="14" fillId="0" borderId="0" xfId="1" applyFont="1" applyAlignment="1">
      <alignment vertical="center"/>
    </xf>
    <xf numFmtId="0" fontId="11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Shimano Steps E8000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'FreeMax Steps E8000 V02'!$N$1</c:f>
              <c:strCache>
                <c:ptCount val="1"/>
                <c:pt idx="0">
                  <c:v>ECO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'FreeMax Steps E8000 V02'!$N$3:$N$22</c:f>
              <c:numCache>
                <c:formatCode>0.00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xVal>
          <c:yVal>
            <c:numRef>
              <c:f>'FreeMax Steps E8000 V02'!$O$3:$O$22</c:f>
              <c:numCache>
                <c:formatCode>0.00</c:formatCode>
                <c:ptCount val="20"/>
                <c:pt idx="0">
                  <c:v>1.5</c:v>
                </c:pt>
                <c:pt idx="1">
                  <c:v>3</c:v>
                </c:pt>
                <c:pt idx="2">
                  <c:v>4.5</c:v>
                </c:pt>
                <c:pt idx="3">
                  <c:v>6</c:v>
                </c:pt>
                <c:pt idx="4">
                  <c:v>7.5</c:v>
                </c:pt>
                <c:pt idx="5">
                  <c:v>9</c:v>
                </c:pt>
                <c:pt idx="6">
                  <c:v>10.5</c:v>
                </c:pt>
                <c:pt idx="7">
                  <c:v>12</c:v>
                </c:pt>
                <c:pt idx="8">
                  <c:v>13.5</c:v>
                </c:pt>
                <c:pt idx="9">
                  <c:v>15</c:v>
                </c:pt>
                <c:pt idx="10">
                  <c:v>16.5</c:v>
                </c:pt>
                <c:pt idx="11">
                  <c:v>18</c:v>
                </c:pt>
                <c:pt idx="12">
                  <c:v>19.5</c:v>
                </c:pt>
                <c:pt idx="13">
                  <c:v>21</c:v>
                </c:pt>
                <c:pt idx="14">
                  <c:v>22.5</c:v>
                </c:pt>
                <c:pt idx="15">
                  <c:v>24</c:v>
                </c:pt>
                <c:pt idx="16">
                  <c:v>25.5</c:v>
                </c:pt>
                <c:pt idx="17">
                  <c:v>27</c:v>
                </c:pt>
                <c:pt idx="18">
                  <c:v>28.5</c:v>
                </c:pt>
                <c:pt idx="19">
                  <c:v>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A4-4855-BD4D-A37BC87F611F}"/>
            </c:ext>
          </c:extLst>
        </c:ser>
        <c:ser>
          <c:idx val="1"/>
          <c:order val="1"/>
          <c:tx>
            <c:strRef>
              <c:f>'FreeMax Steps E8000 V02'!$P$1</c:f>
              <c:strCache>
                <c:ptCount val="1"/>
                <c:pt idx="0">
                  <c:v>TRAIL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9"/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'FreeMax Steps E8000 V02'!$P$3:$P$22</c:f>
              <c:numCache>
                <c:formatCode>0.00</c:formatCode>
                <c:ptCount val="20"/>
                <c:pt idx="0">
                  <c:v>9.75</c:v>
                </c:pt>
                <c:pt idx="1">
                  <c:v>19</c:v>
                </c:pt>
                <c:pt idx="2">
                  <c:v>27.75</c:v>
                </c:pt>
                <c:pt idx="3">
                  <c:v>36</c:v>
                </c:pt>
                <c:pt idx="4">
                  <c:v>43.75</c:v>
                </c:pt>
                <c:pt idx="5">
                  <c:v>51.000000000000007</c:v>
                </c:pt>
                <c:pt idx="6">
                  <c:v>57.75</c:v>
                </c:pt>
                <c:pt idx="7">
                  <c:v>64</c:v>
                </c:pt>
                <c:pt idx="8">
                  <c:v>69.75</c:v>
                </c:pt>
                <c:pt idx="9">
                  <c:v>75</c:v>
                </c:pt>
                <c:pt idx="10">
                  <c:v>79.75</c:v>
                </c:pt>
                <c:pt idx="11">
                  <c:v>84</c:v>
                </c:pt>
                <c:pt idx="12">
                  <c:v>87.75</c:v>
                </c:pt>
                <c:pt idx="13">
                  <c:v>91</c:v>
                </c:pt>
                <c:pt idx="14">
                  <c:v>93.75</c:v>
                </c:pt>
                <c:pt idx="15">
                  <c:v>96</c:v>
                </c:pt>
                <c:pt idx="16">
                  <c:v>97.749999999999986</c:v>
                </c:pt>
                <c:pt idx="17">
                  <c:v>99.000000000000014</c:v>
                </c:pt>
                <c:pt idx="18">
                  <c:v>99.75</c:v>
                </c:pt>
                <c:pt idx="19">
                  <c:v>100</c:v>
                </c:pt>
              </c:numCache>
            </c:numRef>
          </c:xVal>
          <c:yVal>
            <c:numRef>
              <c:f>'FreeMax Steps E8000 V02'!$Q$3:$Q$22</c:f>
              <c:numCache>
                <c:formatCode>0.00</c:formatCode>
                <c:ptCount val="20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14</c:v>
                </c:pt>
                <c:pt idx="4">
                  <c:v>17.5</c:v>
                </c:pt>
                <c:pt idx="5">
                  <c:v>21</c:v>
                </c:pt>
                <c:pt idx="6">
                  <c:v>24.5</c:v>
                </c:pt>
                <c:pt idx="7">
                  <c:v>28</c:v>
                </c:pt>
                <c:pt idx="8">
                  <c:v>31.5</c:v>
                </c:pt>
                <c:pt idx="9">
                  <c:v>35</c:v>
                </c:pt>
                <c:pt idx="10">
                  <c:v>38.5</c:v>
                </c:pt>
                <c:pt idx="11">
                  <c:v>42</c:v>
                </c:pt>
                <c:pt idx="12">
                  <c:v>45.5</c:v>
                </c:pt>
                <c:pt idx="13">
                  <c:v>49</c:v>
                </c:pt>
                <c:pt idx="14">
                  <c:v>52.5</c:v>
                </c:pt>
                <c:pt idx="15">
                  <c:v>56</c:v>
                </c:pt>
                <c:pt idx="16">
                  <c:v>59.5</c:v>
                </c:pt>
                <c:pt idx="17">
                  <c:v>63</c:v>
                </c:pt>
                <c:pt idx="18">
                  <c:v>66.5</c:v>
                </c:pt>
                <c:pt idx="19">
                  <c:v>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A4-4855-BD4D-A37BC87F611F}"/>
            </c:ext>
          </c:extLst>
        </c:ser>
        <c:ser>
          <c:idx val="2"/>
          <c:order val="2"/>
          <c:tx>
            <c:strRef>
              <c:f>'FreeMax Steps E8000 V02'!$R$1</c:f>
              <c:strCache>
                <c:ptCount val="1"/>
                <c:pt idx="0">
                  <c:v>BOOST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diamond"/>
            <c:size val="9"/>
            <c:spPr>
              <a:solidFill>
                <a:srgbClr val="FFC000"/>
              </a:solidFill>
              <a:ln>
                <a:noFill/>
              </a:ln>
            </c:spPr>
          </c:marker>
          <c:xVal>
            <c:numRef>
              <c:f>'FreeMax Steps E8000 V02'!$R$3:$R$22</c:f>
              <c:numCache>
                <c:formatCode>0.00</c:formatCode>
                <c:ptCount val="20"/>
                <c:pt idx="0">
                  <c:v>3.1818181818181817</c:v>
                </c:pt>
                <c:pt idx="1">
                  <c:v>6.3636363636363633</c:v>
                </c:pt>
                <c:pt idx="2">
                  <c:v>9.545454545454545</c:v>
                </c:pt>
                <c:pt idx="3">
                  <c:v>12.727272727272727</c:v>
                </c:pt>
                <c:pt idx="4">
                  <c:v>15.909090909090908</c:v>
                </c:pt>
                <c:pt idx="5">
                  <c:v>19.09090909090909</c:v>
                </c:pt>
                <c:pt idx="6">
                  <c:v>22.272727272727273</c:v>
                </c:pt>
                <c:pt idx="7">
                  <c:v>25.454545454545453</c:v>
                </c:pt>
                <c:pt idx="8">
                  <c:v>28.636363636363637</c:v>
                </c:pt>
                <c:pt idx="9">
                  <c:v>31.818181818181817</c:v>
                </c:pt>
                <c:pt idx="10">
                  <c:v>35</c:v>
                </c:pt>
                <c:pt idx="11">
                  <c:v>38.18181818181818</c:v>
                </c:pt>
                <c:pt idx="12">
                  <c:v>41.363636363636367</c:v>
                </c:pt>
                <c:pt idx="13">
                  <c:v>44.545454545454547</c:v>
                </c:pt>
                <c:pt idx="14">
                  <c:v>47.727272727272727</c:v>
                </c:pt>
                <c:pt idx="15">
                  <c:v>50.909090909090907</c:v>
                </c:pt>
                <c:pt idx="16">
                  <c:v>54.090909090909093</c:v>
                </c:pt>
                <c:pt idx="17">
                  <c:v>57.272727272727273</c:v>
                </c:pt>
                <c:pt idx="18">
                  <c:v>60.454545454545453</c:v>
                </c:pt>
                <c:pt idx="19">
                  <c:v>63.636363636363633</c:v>
                </c:pt>
              </c:numCache>
            </c:numRef>
          </c:xVal>
          <c:yVal>
            <c:numRef>
              <c:f>'FreeMax Steps E8000 V02'!$S$3:$S$22</c:f>
              <c:numCache>
                <c:formatCode>0.00</c:formatCode>
                <c:ptCount val="20"/>
                <c:pt idx="0">
                  <c:v>3.5</c:v>
                </c:pt>
                <c:pt idx="1">
                  <c:v>7</c:v>
                </c:pt>
                <c:pt idx="2">
                  <c:v>10.5</c:v>
                </c:pt>
                <c:pt idx="3">
                  <c:v>14</c:v>
                </c:pt>
                <c:pt idx="4">
                  <c:v>17.5</c:v>
                </c:pt>
                <c:pt idx="5">
                  <c:v>21</c:v>
                </c:pt>
                <c:pt idx="6">
                  <c:v>24.5</c:v>
                </c:pt>
                <c:pt idx="7">
                  <c:v>28</c:v>
                </c:pt>
                <c:pt idx="8">
                  <c:v>31.5</c:v>
                </c:pt>
                <c:pt idx="9">
                  <c:v>35</c:v>
                </c:pt>
                <c:pt idx="10">
                  <c:v>38.5</c:v>
                </c:pt>
                <c:pt idx="11">
                  <c:v>42</c:v>
                </c:pt>
                <c:pt idx="12">
                  <c:v>45.5</c:v>
                </c:pt>
                <c:pt idx="13">
                  <c:v>49</c:v>
                </c:pt>
                <c:pt idx="14">
                  <c:v>52.5</c:v>
                </c:pt>
                <c:pt idx="15">
                  <c:v>56</c:v>
                </c:pt>
                <c:pt idx="16">
                  <c:v>59.5</c:v>
                </c:pt>
                <c:pt idx="17">
                  <c:v>63</c:v>
                </c:pt>
                <c:pt idx="18">
                  <c:v>66.5</c:v>
                </c:pt>
                <c:pt idx="19">
                  <c:v>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2A4-4855-BD4D-A37BC87F6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29088"/>
        <c:axId val="180352128"/>
      </c:scatterChart>
      <c:valAx>
        <c:axId val="18032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r>
                  <a:rPr lang="en-US">
                    <a:solidFill>
                      <a:schemeClr val="accent2"/>
                    </a:solidFill>
                  </a:rPr>
                  <a:t>human torque [Nm]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/>
        </c:spPr>
        <c:crossAx val="180352128"/>
        <c:crosses val="autoZero"/>
        <c:crossBetween val="midCat"/>
        <c:majorUnit val="5"/>
      </c:valAx>
      <c:valAx>
        <c:axId val="180352128"/>
        <c:scaling>
          <c:orientation val="minMax"/>
          <c:max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r>
                  <a:rPr lang="en-US">
                    <a:solidFill>
                      <a:schemeClr val="accent2"/>
                    </a:solidFill>
                  </a:rPr>
                  <a:t>motor torque [Nm]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0329088"/>
        <c:crosses val="autoZero"/>
        <c:crossBetween val="midCat"/>
        <c:majorUnit val="5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12</xdr:col>
      <xdr:colOff>619125</xdr:colOff>
      <xdr:row>23</xdr:row>
      <xdr:rowOff>666749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  <outlinePr summaryRight="0"/>
  </sheetPr>
  <dimension ref="A1:S24"/>
  <sheetViews>
    <sheetView tabSelected="1" zoomScaleNormal="100" workbookViewId="0">
      <selection activeCell="B16" sqref="B16"/>
    </sheetView>
  </sheetViews>
  <sheetFormatPr baseColWidth="10" defaultRowHeight="15" x14ac:dyDescent="0.25"/>
  <cols>
    <col min="1" max="1" width="30.7109375" style="5" customWidth="1"/>
    <col min="2" max="4" width="10.7109375" style="5" customWidth="1"/>
    <col min="5" max="5" width="12" style="5" customWidth="1"/>
    <col min="6" max="16384" width="11.42578125" style="5"/>
  </cols>
  <sheetData>
    <row r="1" spans="1:19" ht="23.25" x14ac:dyDescent="0.25">
      <c r="A1" s="1" t="s">
        <v>0</v>
      </c>
      <c r="B1" s="2" t="s">
        <v>1</v>
      </c>
      <c r="C1" s="3" t="s">
        <v>2</v>
      </c>
      <c r="D1" s="4" t="s">
        <v>3</v>
      </c>
      <c r="N1" s="19" t="s">
        <v>1</v>
      </c>
      <c r="O1" s="19"/>
      <c r="P1" s="20" t="s">
        <v>2</v>
      </c>
      <c r="Q1" s="20"/>
      <c r="R1" s="21" t="s">
        <v>3</v>
      </c>
      <c r="S1" s="21"/>
    </row>
    <row r="2" spans="1:19" ht="45" x14ac:dyDescent="0.25">
      <c r="A2" s="6" t="s">
        <v>4</v>
      </c>
      <c r="B2" s="7">
        <v>30</v>
      </c>
      <c r="C2" s="8">
        <v>70</v>
      </c>
      <c r="D2" s="9">
        <v>110</v>
      </c>
      <c r="E2" s="10"/>
      <c r="N2" s="11" t="s">
        <v>5</v>
      </c>
      <c r="O2" s="11" t="s">
        <v>6</v>
      </c>
      <c r="P2" s="12" t="s">
        <v>5</v>
      </c>
      <c r="Q2" s="12" t="s">
        <v>6</v>
      </c>
      <c r="R2" s="13" t="s">
        <v>5</v>
      </c>
      <c r="S2" s="13" t="s">
        <v>6</v>
      </c>
    </row>
    <row r="3" spans="1:19" ht="42.75" x14ac:dyDescent="0.25">
      <c r="A3" s="6" t="s">
        <v>7</v>
      </c>
      <c r="B3" s="7">
        <v>30</v>
      </c>
      <c r="C3" s="8">
        <v>70</v>
      </c>
      <c r="D3" s="9">
        <v>70</v>
      </c>
      <c r="E3" s="10"/>
      <c r="N3" s="14">
        <f>O3*100/B2</f>
        <v>5</v>
      </c>
      <c r="O3" s="14">
        <f>(B3/20)*1</f>
        <v>1.5</v>
      </c>
      <c r="P3" s="15">
        <f>Q3*100/'FreeMax Steps E8000 V02'!C2 * (1+'FreeMax Steps E8000 V02'!Q24*19)</f>
        <v>9.75</v>
      </c>
      <c r="Q3" s="15">
        <f>('FreeMax Steps E8000 V02'!C3/20)*1</f>
        <v>3.5</v>
      </c>
      <c r="R3" s="16">
        <f>S3*100/'FreeMax Steps E8000 V02'!D2</f>
        <v>3.1818181818181817</v>
      </c>
      <c r="S3" s="16">
        <f>('FreeMax Steps E8000 V02'!D3/20)*1</f>
        <v>3.5</v>
      </c>
    </row>
    <row r="4" spans="1:19" x14ac:dyDescent="0.25">
      <c r="N4" s="14">
        <f>O4*100/B2</f>
        <v>10</v>
      </c>
      <c r="O4" s="14">
        <f>(B3/20)*2</f>
        <v>3</v>
      </c>
      <c r="P4" s="15">
        <f>Q4*100/'FreeMax Steps E8000 V02'!C2 * (1+'FreeMax Steps E8000 V02'!Q24*18)</f>
        <v>19</v>
      </c>
      <c r="Q4" s="15">
        <f>('FreeMax Steps E8000 V02'!C3/20)*2</f>
        <v>7</v>
      </c>
      <c r="R4" s="16">
        <f>S4*100/'FreeMax Steps E8000 V02'!D2</f>
        <v>6.3636363636363633</v>
      </c>
      <c r="S4" s="16">
        <f>('FreeMax Steps E8000 V02'!D3/20)*2</f>
        <v>7</v>
      </c>
    </row>
    <row r="5" spans="1:19" x14ac:dyDescent="0.25">
      <c r="N5" s="14">
        <f>O5*100/B2</f>
        <v>15</v>
      </c>
      <c r="O5" s="14">
        <f>(B3/20)*3</f>
        <v>4.5</v>
      </c>
      <c r="P5" s="15">
        <f>Q5*100/'FreeMax Steps E8000 V02'!C2 * (1+'FreeMax Steps E8000 V02'!Q24*17)</f>
        <v>27.75</v>
      </c>
      <c r="Q5" s="15">
        <f>('FreeMax Steps E8000 V02'!C3/20)*3</f>
        <v>10.5</v>
      </c>
      <c r="R5" s="16">
        <f>S5*100/'FreeMax Steps E8000 V02'!D2</f>
        <v>9.545454545454545</v>
      </c>
      <c r="S5" s="16">
        <f>('FreeMax Steps E8000 V02'!D3/20)*3</f>
        <v>10.5</v>
      </c>
    </row>
    <row r="6" spans="1:19" x14ac:dyDescent="0.25">
      <c r="N6" s="14">
        <f>O6*100/B2</f>
        <v>20</v>
      </c>
      <c r="O6" s="14">
        <f>(B3/20)*4</f>
        <v>6</v>
      </c>
      <c r="P6" s="15">
        <f>Q6*100/'FreeMax Steps E8000 V02'!C2 * (1+'FreeMax Steps E8000 V02'!Q24*16)</f>
        <v>36</v>
      </c>
      <c r="Q6" s="15">
        <f>('FreeMax Steps E8000 V02'!C3/20)*4</f>
        <v>14</v>
      </c>
      <c r="R6" s="16">
        <f>S6*100/'FreeMax Steps E8000 V02'!D2</f>
        <v>12.727272727272727</v>
      </c>
      <c r="S6" s="16">
        <f>('FreeMax Steps E8000 V02'!D3/20)*4</f>
        <v>14</v>
      </c>
    </row>
    <row r="7" spans="1:19" x14ac:dyDescent="0.25">
      <c r="N7" s="14">
        <f>O7*100/B2</f>
        <v>25</v>
      </c>
      <c r="O7" s="14">
        <f>(B3/20)*5</f>
        <v>7.5</v>
      </c>
      <c r="P7" s="15">
        <f>Q7*100/'FreeMax Steps E8000 V02'!C2 * (1+'FreeMax Steps E8000 V02'!Q24*15)</f>
        <v>43.75</v>
      </c>
      <c r="Q7" s="15">
        <f>('FreeMax Steps E8000 V02'!C3/20)*5</f>
        <v>17.5</v>
      </c>
      <c r="R7" s="16">
        <f>S7*100/'FreeMax Steps E8000 V02'!D2</f>
        <v>15.909090909090908</v>
      </c>
      <c r="S7" s="16">
        <f>('FreeMax Steps E8000 V02'!D3/20)*5</f>
        <v>17.5</v>
      </c>
    </row>
    <row r="8" spans="1:19" x14ac:dyDescent="0.25">
      <c r="N8" s="14">
        <f>O8*100/B2</f>
        <v>30</v>
      </c>
      <c r="O8" s="14">
        <f>(B3/20)*6</f>
        <v>9</v>
      </c>
      <c r="P8" s="15">
        <f>Q8*100/'FreeMax Steps E8000 V02'!C2 * (1+'FreeMax Steps E8000 V02'!Q24*14)</f>
        <v>51.000000000000007</v>
      </c>
      <c r="Q8" s="15">
        <f>('FreeMax Steps E8000 V02'!C3/20)*6</f>
        <v>21</v>
      </c>
      <c r="R8" s="16">
        <f>S8*100/'FreeMax Steps E8000 V02'!D2</f>
        <v>19.09090909090909</v>
      </c>
      <c r="S8" s="16">
        <f>('FreeMax Steps E8000 V02'!D3/20)*6</f>
        <v>21</v>
      </c>
    </row>
    <row r="9" spans="1:19" x14ac:dyDescent="0.25">
      <c r="N9" s="14">
        <f>O9*100/B2</f>
        <v>35</v>
      </c>
      <c r="O9" s="14">
        <f>(B3/20)*7</f>
        <v>10.5</v>
      </c>
      <c r="P9" s="15">
        <f>Q9*100/'FreeMax Steps E8000 V02'!C2 * (1+'FreeMax Steps E8000 V02'!Q24*13)</f>
        <v>57.75</v>
      </c>
      <c r="Q9" s="15">
        <f>('FreeMax Steps E8000 V02'!C3/20)*7</f>
        <v>24.5</v>
      </c>
      <c r="R9" s="16">
        <f>S9*100/'FreeMax Steps E8000 V02'!D2</f>
        <v>22.272727272727273</v>
      </c>
      <c r="S9" s="16">
        <f>('FreeMax Steps E8000 V02'!D3/20)*7</f>
        <v>24.5</v>
      </c>
    </row>
    <row r="10" spans="1:19" x14ac:dyDescent="0.25">
      <c r="N10" s="14">
        <f>O10*100/B2</f>
        <v>40</v>
      </c>
      <c r="O10" s="14">
        <f>(B3/20)*8</f>
        <v>12</v>
      </c>
      <c r="P10" s="15">
        <f>Q10*100/'FreeMax Steps E8000 V02'!C2 * (1+'FreeMax Steps E8000 V02'!Q24*12)</f>
        <v>64</v>
      </c>
      <c r="Q10" s="15">
        <f>('FreeMax Steps E8000 V02'!C3/20)*8</f>
        <v>28</v>
      </c>
      <c r="R10" s="16">
        <f>S10*100/'FreeMax Steps E8000 V02'!D2</f>
        <v>25.454545454545453</v>
      </c>
      <c r="S10" s="16">
        <f>('FreeMax Steps E8000 V02'!D3/20)*8</f>
        <v>28</v>
      </c>
    </row>
    <row r="11" spans="1:19" x14ac:dyDescent="0.25">
      <c r="N11" s="14">
        <f>O11*100/B2</f>
        <v>45</v>
      </c>
      <c r="O11" s="14">
        <f>(B3/20)*9</f>
        <v>13.5</v>
      </c>
      <c r="P11" s="15">
        <f>Q11*100/'FreeMax Steps E8000 V02'!C2 * (1+'FreeMax Steps E8000 V02'!Q24*11)</f>
        <v>69.75</v>
      </c>
      <c r="Q11" s="15">
        <f>('FreeMax Steps E8000 V02'!C3/20)*9</f>
        <v>31.5</v>
      </c>
      <c r="R11" s="16">
        <f>S11*100/'FreeMax Steps E8000 V02'!D2</f>
        <v>28.636363636363637</v>
      </c>
      <c r="S11" s="16">
        <f>('FreeMax Steps E8000 V02'!D3/20)*9</f>
        <v>31.5</v>
      </c>
    </row>
    <row r="12" spans="1:19" x14ac:dyDescent="0.25">
      <c r="N12" s="14">
        <f>O12*100/B2</f>
        <v>50</v>
      </c>
      <c r="O12" s="14">
        <f>(B3/20)*10</f>
        <v>15</v>
      </c>
      <c r="P12" s="15">
        <f>Q12*100/'FreeMax Steps E8000 V02'!C2 * (1+'FreeMax Steps E8000 V02'!Q24*10)</f>
        <v>75</v>
      </c>
      <c r="Q12" s="15">
        <f>('FreeMax Steps E8000 V02'!C3/20)*10</f>
        <v>35</v>
      </c>
      <c r="R12" s="16">
        <f>S12*100/'FreeMax Steps E8000 V02'!D2</f>
        <v>31.818181818181817</v>
      </c>
      <c r="S12" s="16">
        <f>('FreeMax Steps E8000 V02'!D3/20)*10</f>
        <v>35</v>
      </c>
    </row>
    <row r="13" spans="1:19" x14ac:dyDescent="0.25">
      <c r="N13" s="14">
        <f>O13*100/B2</f>
        <v>55</v>
      </c>
      <c r="O13" s="14">
        <f>(B3/20)*11</f>
        <v>16.5</v>
      </c>
      <c r="P13" s="15">
        <f>Q13*100/'FreeMax Steps E8000 V02'!C2 * (1+'FreeMax Steps E8000 V02'!Q24*9)</f>
        <v>79.75</v>
      </c>
      <c r="Q13" s="15">
        <f>('FreeMax Steps E8000 V02'!C3/20)*11</f>
        <v>38.5</v>
      </c>
      <c r="R13" s="16">
        <f>S13*100/'FreeMax Steps E8000 V02'!D2</f>
        <v>35</v>
      </c>
      <c r="S13" s="16">
        <f>('FreeMax Steps E8000 V02'!D3/20)*11</f>
        <v>38.5</v>
      </c>
    </row>
    <row r="14" spans="1:19" x14ac:dyDescent="0.25">
      <c r="N14" s="14">
        <f>O14*100/B2</f>
        <v>60</v>
      </c>
      <c r="O14" s="14">
        <f>(B3/20)*12</f>
        <v>18</v>
      </c>
      <c r="P14" s="15">
        <f>Q14*100/'FreeMax Steps E8000 V02'!C2 * (1+'FreeMax Steps E8000 V02'!Q24*8)</f>
        <v>84</v>
      </c>
      <c r="Q14" s="15">
        <f>('FreeMax Steps E8000 V02'!C3/20)*12</f>
        <v>42</v>
      </c>
      <c r="R14" s="16">
        <f>S14*100/'FreeMax Steps E8000 V02'!D2</f>
        <v>38.18181818181818</v>
      </c>
      <c r="S14" s="16">
        <f>('FreeMax Steps E8000 V02'!D3/20)*12</f>
        <v>42</v>
      </c>
    </row>
    <row r="15" spans="1:19" x14ac:dyDescent="0.25">
      <c r="N15" s="14">
        <f>O15*100/B2</f>
        <v>65</v>
      </c>
      <c r="O15" s="14">
        <f>(B3/20)*13</f>
        <v>19.5</v>
      </c>
      <c r="P15" s="15">
        <f>Q15*100/'FreeMax Steps E8000 V02'!C2 * (1+'FreeMax Steps E8000 V02'!Q24*7)</f>
        <v>87.75</v>
      </c>
      <c r="Q15" s="15">
        <f>('FreeMax Steps E8000 V02'!C3/20)*13</f>
        <v>45.5</v>
      </c>
      <c r="R15" s="16">
        <f>S15*100/'FreeMax Steps E8000 V02'!D2</f>
        <v>41.363636363636367</v>
      </c>
      <c r="S15" s="16">
        <f>('FreeMax Steps E8000 V02'!D3/20)*13</f>
        <v>45.5</v>
      </c>
    </row>
    <row r="16" spans="1:19" x14ac:dyDescent="0.25">
      <c r="N16" s="14">
        <f>O16*100/B2</f>
        <v>70</v>
      </c>
      <c r="O16" s="14">
        <f>(B3/20)*14</f>
        <v>21</v>
      </c>
      <c r="P16" s="15">
        <f>Q16*100/'FreeMax Steps E8000 V02'!C2 * (1+'FreeMax Steps E8000 V02'!Q24*6)</f>
        <v>91</v>
      </c>
      <c r="Q16" s="15">
        <f>('FreeMax Steps E8000 V02'!C3/20)*14</f>
        <v>49</v>
      </c>
      <c r="R16" s="16">
        <f>S16*100/'FreeMax Steps E8000 V02'!D2</f>
        <v>44.545454545454547</v>
      </c>
      <c r="S16" s="16">
        <f>('FreeMax Steps E8000 V02'!D3/20)*14</f>
        <v>49</v>
      </c>
    </row>
    <row r="17" spans="14:19" x14ac:dyDescent="0.25">
      <c r="N17" s="14">
        <f>O17*100/B2</f>
        <v>75</v>
      </c>
      <c r="O17" s="14">
        <f>(B3/20)*15</f>
        <v>22.5</v>
      </c>
      <c r="P17" s="15">
        <f>Q17*100/'FreeMax Steps E8000 V02'!C2 * (1+'FreeMax Steps E8000 V02'!Q24*5)</f>
        <v>93.75</v>
      </c>
      <c r="Q17" s="15">
        <f>('FreeMax Steps E8000 V02'!C3/20)*15</f>
        <v>52.5</v>
      </c>
      <c r="R17" s="16">
        <f>S17*100/'FreeMax Steps E8000 V02'!D2</f>
        <v>47.727272727272727</v>
      </c>
      <c r="S17" s="16">
        <f>('FreeMax Steps E8000 V02'!D3/20)*15</f>
        <v>52.5</v>
      </c>
    </row>
    <row r="18" spans="14:19" x14ac:dyDescent="0.25">
      <c r="N18" s="14">
        <f>O18*100/B2</f>
        <v>80</v>
      </c>
      <c r="O18" s="14">
        <f>(B3/20)*16</f>
        <v>24</v>
      </c>
      <c r="P18" s="15">
        <f>Q18*100/'FreeMax Steps E8000 V02'!C2 * (1+'FreeMax Steps E8000 V02'!Q24*4)</f>
        <v>96</v>
      </c>
      <c r="Q18" s="15">
        <f>('FreeMax Steps E8000 V02'!C3/20)*16</f>
        <v>56</v>
      </c>
      <c r="R18" s="16">
        <f>S18*100/'FreeMax Steps E8000 V02'!D2</f>
        <v>50.909090909090907</v>
      </c>
      <c r="S18" s="16">
        <f>('FreeMax Steps E8000 V02'!D3/20)*16</f>
        <v>56</v>
      </c>
    </row>
    <row r="19" spans="14:19" x14ac:dyDescent="0.25">
      <c r="N19" s="14">
        <f>O19*100/B2</f>
        <v>85</v>
      </c>
      <c r="O19" s="14">
        <f>(B3/20)*17</f>
        <v>25.5</v>
      </c>
      <c r="P19" s="15">
        <f>Q19*100/'FreeMax Steps E8000 V02'!C2 * (1+'FreeMax Steps E8000 V02'!Q24*3)</f>
        <v>97.749999999999986</v>
      </c>
      <c r="Q19" s="15">
        <f>('FreeMax Steps E8000 V02'!C3/20)*17</f>
        <v>59.5</v>
      </c>
      <c r="R19" s="16">
        <f>S19*100/'FreeMax Steps E8000 V02'!D2</f>
        <v>54.090909090909093</v>
      </c>
      <c r="S19" s="16">
        <f>('FreeMax Steps E8000 V02'!D3/20)*17</f>
        <v>59.5</v>
      </c>
    </row>
    <row r="20" spans="14:19" x14ac:dyDescent="0.25">
      <c r="N20" s="14">
        <f>O20*100/B2</f>
        <v>90</v>
      </c>
      <c r="O20" s="14">
        <f>(B3/20)*18</f>
        <v>27</v>
      </c>
      <c r="P20" s="15">
        <f>Q20*100/'FreeMax Steps E8000 V02'!C2 * (1+'FreeMax Steps E8000 V02'!Q24*2)</f>
        <v>99.000000000000014</v>
      </c>
      <c r="Q20" s="15">
        <f>('FreeMax Steps E8000 V02'!C3/20)*18</f>
        <v>63</v>
      </c>
      <c r="R20" s="16">
        <f>S20*100/'FreeMax Steps E8000 V02'!D2</f>
        <v>57.272727272727273</v>
      </c>
      <c r="S20" s="16">
        <f>('FreeMax Steps E8000 V02'!D3/20)*18</f>
        <v>63</v>
      </c>
    </row>
    <row r="21" spans="14:19" x14ac:dyDescent="0.25">
      <c r="N21" s="14">
        <f>O21*100/B2</f>
        <v>95</v>
      </c>
      <c r="O21" s="14">
        <f>(B3/20)*19</f>
        <v>28.5</v>
      </c>
      <c r="P21" s="15">
        <f>Q21*100/'FreeMax Steps E8000 V02'!C2  * (1+'FreeMax Steps E8000 V02'!Q24*1)</f>
        <v>99.75</v>
      </c>
      <c r="Q21" s="15">
        <f>('FreeMax Steps E8000 V02'!C3/20)*19</f>
        <v>66.5</v>
      </c>
      <c r="R21" s="16">
        <f>S21*100/'FreeMax Steps E8000 V02'!D2</f>
        <v>60.454545454545453</v>
      </c>
      <c r="S21" s="16">
        <f>('FreeMax Steps E8000 V02'!D3/20)*19</f>
        <v>66.5</v>
      </c>
    </row>
    <row r="22" spans="14:19" x14ac:dyDescent="0.25">
      <c r="N22" s="14">
        <f>O22*100/B2</f>
        <v>100</v>
      </c>
      <c r="O22" s="14">
        <f>(B3/20)*20</f>
        <v>30</v>
      </c>
      <c r="P22" s="15">
        <f>Q22*100/'FreeMax Steps E8000 V02'!C2 * (1+'FreeMax Steps E8000 V02'!Q24*0)</f>
        <v>100</v>
      </c>
      <c r="Q22" s="15">
        <f>('FreeMax Steps E8000 V02'!C3/20)*20</f>
        <v>70</v>
      </c>
      <c r="R22" s="16">
        <f>S22*100/'FreeMax Steps E8000 V02'!D2</f>
        <v>63.636363636363633</v>
      </c>
      <c r="S22" s="16">
        <f>('FreeMax Steps E8000 V02'!D3/20)*20</f>
        <v>70</v>
      </c>
    </row>
    <row r="23" spans="14:19" x14ac:dyDescent="0.25">
      <c r="P23" s="17"/>
      <c r="Q23" s="17"/>
    </row>
    <row r="24" spans="14:19" ht="60" x14ac:dyDescent="0.25">
      <c r="P24" s="18" t="s">
        <v>8</v>
      </c>
      <c r="Q24" s="15">
        <v>0.05</v>
      </c>
    </row>
  </sheetData>
  <sheetProtection sort="0" autoFilter="0" pivotTables="0"/>
  <mergeCells count="3">
    <mergeCell ref="N1:O1"/>
    <mergeCell ref="P1:Q1"/>
    <mergeCell ref="R1:S1"/>
  </mergeCells>
  <dataValidations count="2">
    <dataValidation type="whole" allowBlank="1" showInputMessage="1" showErrorMessage="1" sqref="B3:D3">
      <formula1>20</formula1>
      <formula2>70</formula2>
    </dataValidation>
    <dataValidation type="whole" allowBlank="1" showInputMessage="1" showErrorMessage="1" sqref="B2:D2">
      <formula1>20</formula1>
      <formula2>300</formula2>
    </dataValidation>
  </dataValidations>
  <pageMargins left="0.7" right="0.7" top="0.78740157499999996" bottom="0.78740157499999996" header="0.3" footer="0.3"/>
  <pageSetup paperSize="9" scale="53" orientation="portrait" r:id="rId1"/>
  <colBreaks count="1" manualBreakCount="1">
    <brk id="13" max="23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FreeMax Steps E8000 V02</vt:lpstr>
      <vt:lpstr>'FreeMax Steps E8000 V02'!Druckbereich</vt:lpstr>
    </vt:vector>
  </TitlesOfParts>
  <Company>Miele &amp; Cie.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kamp1</dc:creator>
  <cp:lastModifiedBy>Markus Schlegel</cp:lastModifiedBy>
  <dcterms:created xsi:type="dcterms:W3CDTF">2018-05-28T04:27:34Z</dcterms:created>
  <dcterms:modified xsi:type="dcterms:W3CDTF">2018-06-06T19:29:46Z</dcterms:modified>
</cp:coreProperties>
</file>